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<sst xmlns="http://schemas.openxmlformats.org/spreadsheetml/2006/main" count="518" uniqueCount="137">
  <si>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</si>
  <si>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</si>
  <si>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</si>
  <si>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</si>
  <si>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</si>
  <si>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</si>
  <si>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</si>
  <si>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</si>
  <si>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</si>
  <si>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</si>
  <si>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</si>
  <si>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</si>
  <si>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</si>
  <si>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</si>
  <si>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</si>
  <si>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</si>
  <si>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</si>
  <si>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</si>
  <si>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</si>
  <si>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</si>
  <si>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</si>
  <si>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</si>
  <si>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</si>
  <si>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</si>
  <si>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</si>
  <si>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</si>
  <si>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</si>
  <si>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</si>
  <si>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</si>
  <si>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</si>
  <si>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</si>
  <si>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</si>
  <si>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</si>
  <si>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</si>
  <si>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</si>
  <si>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</si>
  <si>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</si>
  <si>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</si>
  <si>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</si>
  <si>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</si>
  <si>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</si>
  <si>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</si>
  <si>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</si>
  <si>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</si>
  <si>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</si>
  <si>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</si>
  <si>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</si>
  <si>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</si>
  <si>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</si>
  <si>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</si>
  <si>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</si>
  <si>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</si>
  <si>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</si>
  <si>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</si>
  <si>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</si>
  <si>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</si>
  <si>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</si>
  <si>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</si>
  <si>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</si>
  <si>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</si>
  <si>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</si>
  <si>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</si>
  <si>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</si>
  <si>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</si>
  <si>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</si>
  <si>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</si>
  <si>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</si>
  <si>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</si>
  <si>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</si>
  <si>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</si>
  <si>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</si>
  <si>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</si>
  <si>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</si>
  <si>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</si>
  <si>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</si>
  <si>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</si>
  <si>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</si>
  <si>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</si>
  <si>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</si>
  <si>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</si>
  <si>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</si>
  <si>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</si>
  <si>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</si>
  <si>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</si>
  <si>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</si>
  <si>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</si>
  <si>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</si>
  <si>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</si>
  <si>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</si>
  <si>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</si>
  <si>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</si>
  <si>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</si>
  <si>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</si>
  <si>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</si>
  <si>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</si>
  <si>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</si>
  <si>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</si>
  <si>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</si>
  <si>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</si>
  <si>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</si>
  <si>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</si>
  <si>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</si>
  <si>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</si>
  <si>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</si>
  <si>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</si>
  <si>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</si>
  <si>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</si>
  <si>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</si>
  <si>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</si>
  <si>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</si>
  <si>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</si>
  <si>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</si>
  <si>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</si>
  <si>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</si>
  <si>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</si>
  <si>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</si>
  <si>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</si>
  <si>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</si>
  <si>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</si>
  <si>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</si>
  <si>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</si>
  <si>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</si>
  <si>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</si>
  <si>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</si>
  <si>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</si>
  <si>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</si>
  <si>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</si>
  <si>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</si>
  <si>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</si>
  <si>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</si>
  <si>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</si>
  <si>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</si>
  <si>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</si>
  <si>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Anexa nr.2 la HCL __/____</t>
  </si>
  <si>
    <t>(Anexa nr. 2.1 la Ordinul 1.333/2021)</t>
  </si>
  <si>
    <t xml:space="preserve">Valoare de referință standard de cost </t>
  </si>
  <si>
    <t>DEVIZ  GENERAL ESTIMATIV
al obiectivului de investiţie : "Reabilitare infrastructură rutieră pe străzile Calea Transilvaniei, Calea Bucovinei, Barbu Lăutaru și varianta de trafic greu din municipiul Câmpulung Moldovenesc, județul Suceava "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</si>
</sst>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8" fillId="0" borderId="10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right" vertical="center"/>
      <protection hidden="1"/>
    </xf>
    <xf numFmtId="4" fontId="18" fillId="16" borderId="15" xfId="0" applyNumberFormat="1" applyFont="1" applyFill="1" applyBorder="1" applyAlignment="1" applyProtection="1">
      <alignment horizontal="right" vertical="center"/>
      <protection hidden="1"/>
    </xf>
    <xf numFmtId="4" fontId="18" fillId="16" borderId="16" xfId="0" applyNumberFormat="1" applyFont="1" applyFill="1" applyBorder="1" applyAlignment="1" applyProtection="1">
      <alignment horizontal="right" vertical="center"/>
      <protection hidden="1"/>
    </xf>
    <xf numFmtId="0" fontId="18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8" fillId="10" borderId="15" xfId="0" applyNumberFormat="1" applyFont="1" applyFill="1" applyBorder="1" applyAlignment="1" applyProtection="1">
      <alignment horizontal="right" vertical="center"/>
      <protection hidden="1"/>
    </xf>
    <xf numFmtId="4" fontId="18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22" xfId="0" applyFont="1" applyFill="1" applyBorder="1" applyAlignment="1" applyProtection="1">
      <alignment vertical="center"/>
      <protection hidden="1"/>
    </xf>
    <xf numFmtId="0" fontId="18" fillId="35" borderId="23" xfId="0" applyFont="1" applyFill="1" applyBorder="1" applyAlignment="1" applyProtection="1">
      <alignment horizontal="left" vertical="center"/>
      <protection hidden="1"/>
    </xf>
    <xf numFmtId="4" fontId="18" fillId="16" borderId="23" xfId="0" applyNumberFormat="1" applyFont="1" applyFill="1" applyBorder="1" applyAlignment="1" applyProtection="1">
      <alignment horizontal="right" vertical="center"/>
      <protection hidden="1"/>
    </xf>
    <xf numFmtId="4" fontId="18" fillId="16" borderId="26" xfId="0" applyNumberFormat="1" applyFont="1" applyFill="1" applyBorder="1" applyAlignment="1" applyProtection="1">
      <alignment horizontal="right" vertical="center"/>
      <protection hidden="1"/>
    </xf>
    <xf numFmtId="0" fontId="18" fillId="35" borderId="24" xfId="0" applyFont="1" applyFill="1" applyBorder="1" applyAlignment="1" applyProtection="1">
      <alignment vertical="center"/>
      <protection hidden="1"/>
    </xf>
    <xf numFmtId="0" fontId="18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4" fontId="18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 applyProtection="1">
      <alignment horizontal="center" vertical="center" wrapText="1"/>
      <protection hidden="1"/>
    </xf>
    <xf numFmtId="0" fontId="18" fillId="35" borderId="29" xfId="0" applyFont="1" applyFill="1" applyBorder="1" applyAlignment="1" applyProtection="1">
      <alignment horizontal="center" vertical="center" wrapText="1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0" fontId="18" fillId="35" borderId="27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3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115" zoomScaleNormal="115" zoomScalePageLayoutView="0" workbookViewId="0" topLeftCell="A70">
      <selection activeCell="L8" sqref="L8"/>
    </sheetView>
  </sheetViews>
  <sheetFormatPr defaultColWidth="9.140625" defaultRowHeight="12.75"/>
  <cols>
    <col min="1" max="1" width="6.8515625" style="117" customWidth="1"/>
    <col min="2" max="2" width="43.7109375" style="117" customWidth="1"/>
    <col min="3" max="3" width="15.7109375" style="117" bestFit="1" customWidth="1"/>
    <col min="4" max="4" width="16.8515625" style="117" customWidth="1"/>
    <col min="5" max="5" width="15.7109375" style="117" customWidth="1"/>
    <col min="6" max="6" width="14.7109375" style="118" hidden="1" customWidth="1"/>
    <col min="7" max="7" width="14.28125" style="119" hidden="1" customWidth="1"/>
    <col min="8" max="8" width="9.140625" style="120" hidden="1" customWidth="1"/>
    <col min="9" max="10" width="9.140625" style="120" customWidth="1"/>
    <col min="11" max="11" width="0" style="120" hidden="1" customWidth="1"/>
    <col min="12" max="36" width="9.140625" style="120" customWidth="1"/>
    <col min="37" max="16384" width="9.140625" style="121" customWidth="1"/>
  </cols>
  <sheetData>
    <row r="1" spans="4:5" ht="12.75" customHeight="1">
      <c r="D1" s="208" t="s">
        <v>133</v>
      </c>
      <c r="E1" s="208"/>
    </row>
    <row r="2" spans="4:5" ht="20.25" customHeight="1">
      <c r="D2" s="208" t="s">
        <v>134</v>
      </c>
      <c r="E2" s="208"/>
    </row>
    <row r="3" spans="1:6" ht="36" customHeight="1">
      <c r="A3" s="209" t="s">
        <v>136</v>
      </c>
      <c r="B3" s="210"/>
      <c r="C3" s="210"/>
      <c r="D3" s="210"/>
      <c r="E3" s="210"/>
      <c r="F3" s="122"/>
    </row>
    <row r="4" spans="1:5" ht="19.5" customHeight="1">
      <c r="A4" s="124"/>
      <c r="B4" s="124"/>
      <c r="C4" s="124"/>
      <c r="D4" s="124"/>
      <c r="E4" s="124"/>
    </row>
    <row r="5" spans="1:6" ht="15" customHeight="1" thickBot="1">
      <c r="A5" s="125"/>
      <c r="B5" s="125"/>
      <c r="C5" s="125"/>
      <c r="D5" s="126"/>
      <c r="E5" s="127"/>
      <c r="F5" s="128"/>
    </row>
    <row r="6" spans="1:8" ht="25.5" customHeight="1">
      <c r="A6" s="211" t="s">
        <v>0</v>
      </c>
      <c r="B6" s="213" t="s">
        <v>1</v>
      </c>
      <c r="C6" s="213" t="s">
        <v>28</v>
      </c>
      <c r="D6" s="213"/>
      <c r="E6" s="215"/>
      <c r="F6" s="216" t="s">
        <v>51</v>
      </c>
      <c r="G6" s="217" t="s">
        <v>100</v>
      </c>
      <c r="H6" s="217" t="s">
        <v>113</v>
      </c>
    </row>
    <row r="7" spans="1:8" ht="24">
      <c r="A7" s="212"/>
      <c r="B7" s="214"/>
      <c r="C7" s="130" t="s">
        <v>96</v>
      </c>
      <c r="D7" s="131" t="s">
        <v>97</v>
      </c>
      <c r="E7" s="132" t="s">
        <v>98</v>
      </c>
      <c r="F7" s="216"/>
      <c r="G7" s="217"/>
      <c r="H7" s="217"/>
    </row>
    <row r="8" spans="1:8" ht="12">
      <c r="A8" s="212"/>
      <c r="B8" s="214"/>
      <c r="C8" s="129" t="s">
        <v>2</v>
      </c>
      <c r="D8" s="133" t="s">
        <v>2</v>
      </c>
      <c r="E8" s="134" t="s">
        <v>2</v>
      </c>
      <c r="F8" s="216"/>
      <c r="G8" s="217"/>
      <c r="H8" s="217"/>
    </row>
    <row r="9" spans="1:7" ht="15" customHeight="1" thickBot="1">
      <c r="A9" s="135">
        <v>1</v>
      </c>
      <c r="B9" s="136">
        <v>2</v>
      </c>
      <c r="C9" s="136">
        <v>3</v>
      </c>
      <c r="D9" s="137">
        <v>4</v>
      </c>
      <c r="E9" s="138">
        <v>5</v>
      </c>
      <c r="F9" s="139"/>
      <c r="G9" s="140"/>
    </row>
    <row r="10" spans="1:7" ht="28.5" customHeight="1" thickBot="1">
      <c r="A10" s="218" t="s">
        <v>41</v>
      </c>
      <c r="B10" s="219"/>
      <c r="C10" s="219"/>
      <c r="D10" s="219"/>
      <c r="E10" s="220"/>
      <c r="F10" s="139"/>
      <c r="G10" s="140"/>
    </row>
    <row r="11" spans="1:8" ht="12">
      <c r="A11" s="141" t="s">
        <v>3</v>
      </c>
      <c r="B11" s="142" t="s">
        <v>95</v>
      </c>
      <c r="C11" s="143">
        <v>0</v>
      </c>
      <c r="D11" s="144">
        <f>ROUND(0.19*C11,2)</f>
        <v>0</v>
      </c>
      <c r="E11" s="145">
        <f>D11+C11</f>
        <v>0</v>
      </c>
      <c r="F11" s="146" t="s">
        <v>29</v>
      </c>
      <c r="G11" s="140" t="s">
        <v>101</v>
      </c>
      <c r="H11" s="140" t="s">
        <v>101</v>
      </c>
    </row>
    <row r="12" spans="1:36" s="152" customFormat="1" ht="12">
      <c r="A12" s="147" t="s">
        <v>4</v>
      </c>
      <c r="B12" s="148" t="s">
        <v>94</v>
      </c>
      <c r="C12" s="149">
        <v>0</v>
      </c>
      <c r="D12" s="150">
        <f>ROUND(0.19*C12,2)</f>
        <v>0</v>
      </c>
      <c r="E12" s="151">
        <f>D12+C12</f>
        <v>0</v>
      </c>
      <c r="F12" s="146" t="s">
        <v>30</v>
      </c>
      <c r="G12" s="140" t="s">
        <v>106</v>
      </c>
      <c r="H12" s="140" t="s">
        <v>106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8" ht="24">
      <c r="A13" s="147" t="s">
        <v>5</v>
      </c>
      <c r="B13" s="153" t="s">
        <v>42</v>
      </c>
      <c r="C13" s="76">
        <v>0</v>
      </c>
      <c r="D13" s="150">
        <f>ROUND(0.19*C13,2)</f>
        <v>0</v>
      </c>
      <c r="E13" s="151">
        <f>D13+C13</f>
        <v>0</v>
      </c>
      <c r="F13" s="146" t="s">
        <v>29</v>
      </c>
      <c r="G13" s="140" t="s">
        <v>106</v>
      </c>
      <c r="H13" s="140" t="s">
        <v>106</v>
      </c>
    </row>
    <row r="14" spans="1:36" s="152" customFormat="1" ht="19.5" customHeight="1">
      <c r="A14" s="154" t="s">
        <v>52</v>
      </c>
      <c r="B14" s="153" t="s">
        <v>53</v>
      </c>
      <c r="C14" s="149">
        <v>0</v>
      </c>
      <c r="D14" s="150">
        <f>ROUND(0.19*C14,2)</f>
        <v>0</v>
      </c>
      <c r="E14" s="151">
        <f>D14+C14</f>
        <v>0</v>
      </c>
      <c r="F14" s="146" t="s">
        <v>30</v>
      </c>
      <c r="G14" s="140" t="s">
        <v>106</v>
      </c>
      <c r="H14" s="140" t="s">
        <v>106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7" ht="16.5" customHeight="1" thickBot="1">
      <c r="A15" s="155"/>
      <c r="B15" s="156" t="s">
        <v>39</v>
      </c>
      <c r="C15" s="157">
        <f>_xlfn.SUMIFS(C11:C14,$F$11:$F$14,"&lt;&gt;")</f>
        <v>0</v>
      </c>
      <c r="D15" s="157">
        <f>_xlfn.SUMIFS(D11:D14,$F$11:$F$14,"&lt;&gt;0")</f>
        <v>0</v>
      </c>
      <c r="E15" s="157">
        <f>_xlfn.SUMIFS(E11:E14,$F$11:$F$14,"&lt;&gt;0")</f>
        <v>0</v>
      </c>
      <c r="F15" s="146"/>
      <c r="G15" s="140"/>
    </row>
    <row r="16" spans="1:7" ht="34.5" customHeight="1">
      <c r="A16" s="218" t="s">
        <v>43</v>
      </c>
      <c r="B16" s="219"/>
      <c r="C16" s="219"/>
      <c r="D16" s="219"/>
      <c r="E16" s="220"/>
      <c r="F16" s="146"/>
      <c r="G16" s="140"/>
    </row>
    <row r="17" spans="1:8" ht="24">
      <c r="A17" s="147">
        <v>2</v>
      </c>
      <c r="B17" s="153" t="s">
        <v>54</v>
      </c>
      <c r="C17" s="76">
        <v>0</v>
      </c>
      <c r="D17" s="150">
        <f>ROUND(0.19*C17,2)</f>
        <v>0</v>
      </c>
      <c r="E17" s="151">
        <f>D17+C17</f>
        <v>0</v>
      </c>
      <c r="F17" s="146" t="s">
        <v>30</v>
      </c>
      <c r="G17" s="139" t="s">
        <v>106</v>
      </c>
      <c r="H17" s="139" t="s">
        <v>106</v>
      </c>
    </row>
    <row r="18" spans="1:7" ht="16.5" customHeight="1" thickBot="1">
      <c r="A18" s="155"/>
      <c r="B18" s="156" t="s">
        <v>40</v>
      </c>
      <c r="C18" s="157">
        <f>_xlfn.SUMIFS(C17,$F$17,"&lt;&gt;")</f>
        <v>0</v>
      </c>
      <c r="D18" s="157">
        <f>_xlfn.SUMIFS(D17,$F$17,"&lt;&gt;0")</f>
        <v>0</v>
      </c>
      <c r="E18" s="158">
        <f>_xlfn.SUMIFS(E17,$F$17,"&lt;&gt;0")</f>
        <v>0</v>
      </c>
      <c r="F18" s="146"/>
      <c r="G18" s="140"/>
    </row>
    <row r="19" spans="1:7" ht="27.75" customHeight="1" thickBot="1">
      <c r="A19" s="218" t="s">
        <v>44</v>
      </c>
      <c r="B19" s="219"/>
      <c r="C19" s="219"/>
      <c r="D19" s="219"/>
      <c r="E19" s="220"/>
      <c r="F19" s="146"/>
      <c r="G19" s="140"/>
    </row>
    <row r="20" spans="1:8" ht="12">
      <c r="A20" s="141" t="s">
        <v>6</v>
      </c>
      <c r="B20" s="159" t="s">
        <v>55</v>
      </c>
      <c r="C20" s="143">
        <v>25000</v>
      </c>
      <c r="D20" s="160">
        <f aca="true" t="shared" si="0" ref="D20:D33">ROUND(0.19*C20,2)</f>
        <v>4750</v>
      </c>
      <c r="E20" s="161">
        <f aca="true" t="shared" si="1" ref="E20:E33">D20+C20</f>
        <v>29750</v>
      </c>
      <c r="F20" s="146" t="s">
        <v>29</v>
      </c>
      <c r="G20" s="140" t="s">
        <v>106</v>
      </c>
      <c r="H20" s="140" t="s">
        <v>101</v>
      </c>
    </row>
    <row r="21" spans="1:8" ht="24">
      <c r="A21" s="147" t="s">
        <v>7</v>
      </c>
      <c r="B21" s="153" t="s">
        <v>56</v>
      </c>
      <c r="C21" s="76">
        <v>4000</v>
      </c>
      <c r="D21" s="82">
        <f t="shared" si="0"/>
        <v>760</v>
      </c>
      <c r="E21" s="83">
        <f t="shared" si="1"/>
        <v>4760</v>
      </c>
      <c r="F21" s="146" t="s">
        <v>29</v>
      </c>
      <c r="G21" s="140" t="s">
        <v>106</v>
      </c>
      <c r="H21" s="140" t="s">
        <v>101</v>
      </c>
    </row>
    <row r="22" spans="1:8" ht="12">
      <c r="A22" s="154" t="s">
        <v>8</v>
      </c>
      <c r="B22" s="153" t="s">
        <v>57</v>
      </c>
      <c r="C22" s="76">
        <v>28000</v>
      </c>
      <c r="D22" s="82">
        <f t="shared" si="0"/>
        <v>5320</v>
      </c>
      <c r="E22" s="83">
        <f t="shared" si="1"/>
        <v>33320</v>
      </c>
      <c r="F22" s="146" t="s">
        <v>29</v>
      </c>
      <c r="G22" s="140" t="s">
        <v>106</v>
      </c>
      <c r="H22" s="140" t="s">
        <v>101</v>
      </c>
    </row>
    <row r="23" spans="1:8" ht="24">
      <c r="A23" s="154" t="s">
        <v>9</v>
      </c>
      <c r="B23" s="153" t="s">
        <v>58</v>
      </c>
      <c r="C23" s="76">
        <v>0</v>
      </c>
      <c r="D23" s="82">
        <f t="shared" si="0"/>
        <v>0</v>
      </c>
      <c r="E23" s="83">
        <f t="shared" si="1"/>
        <v>0</v>
      </c>
      <c r="F23" s="146" t="s">
        <v>29</v>
      </c>
      <c r="G23" s="140" t="s">
        <v>106</v>
      </c>
      <c r="H23" s="140" t="s">
        <v>101</v>
      </c>
    </row>
    <row r="24" spans="1:8" ht="12">
      <c r="A24" s="154" t="s">
        <v>10</v>
      </c>
      <c r="B24" s="148" t="s">
        <v>59</v>
      </c>
      <c r="C24" s="82">
        <f>SUM(C25:C30)</f>
        <v>560031.4711</v>
      </c>
      <c r="D24" s="82">
        <f>SUM(D25:D30)</f>
        <v>106405.98</v>
      </c>
      <c r="E24" s="83">
        <f>SUM(E25:E30)</f>
        <v>666437.4511</v>
      </c>
      <c r="F24" s="146"/>
      <c r="G24" s="140"/>
      <c r="H24" s="140"/>
    </row>
    <row r="25" spans="1:8" ht="12">
      <c r="A25" s="63" t="s">
        <v>60</v>
      </c>
      <c r="B25" s="64" t="s">
        <v>61</v>
      </c>
      <c r="C25" s="76">
        <v>0</v>
      </c>
      <c r="D25" s="82">
        <f t="shared" si="0"/>
        <v>0</v>
      </c>
      <c r="E25" s="83">
        <f t="shared" si="1"/>
        <v>0</v>
      </c>
      <c r="F25" s="146" t="s">
        <v>29</v>
      </c>
      <c r="G25" s="140" t="s">
        <v>106</v>
      </c>
      <c r="H25" s="140" t="s">
        <v>101</v>
      </c>
    </row>
    <row r="26" spans="1:8" ht="12">
      <c r="A26" s="63" t="s">
        <v>62</v>
      </c>
      <c r="B26" s="64" t="s">
        <v>63</v>
      </c>
      <c r="C26" s="76">
        <v>0</v>
      </c>
      <c r="D26" s="82">
        <f t="shared" si="0"/>
        <v>0</v>
      </c>
      <c r="E26" s="83">
        <f t="shared" si="1"/>
        <v>0</v>
      </c>
      <c r="F26" s="146" t="s">
        <v>29</v>
      </c>
      <c r="G26" s="140" t="s">
        <v>106</v>
      </c>
      <c r="H26" s="140" t="s">
        <v>101</v>
      </c>
    </row>
    <row r="27" spans="1:8" ht="24">
      <c r="A27" s="63" t="s">
        <v>64</v>
      </c>
      <c r="B27" s="65" t="s">
        <v>65</v>
      </c>
      <c r="C27" s="76">
        <f>110000</f>
        <v>110000</v>
      </c>
      <c r="D27" s="82">
        <f t="shared" si="0"/>
        <v>20900</v>
      </c>
      <c r="E27" s="83">
        <f t="shared" si="1"/>
        <v>130900</v>
      </c>
      <c r="F27" s="146" t="s">
        <v>29</v>
      </c>
      <c r="G27" s="140" t="s">
        <v>106</v>
      </c>
      <c r="H27" s="140" t="s">
        <v>101</v>
      </c>
    </row>
    <row r="28" spans="1:8" ht="24">
      <c r="A28" s="63" t="s">
        <v>66</v>
      </c>
      <c r="B28" s="65" t="s">
        <v>67</v>
      </c>
      <c r="C28" s="76">
        <f>5000</f>
        <v>5000</v>
      </c>
      <c r="D28" s="84">
        <f t="shared" si="0"/>
        <v>950</v>
      </c>
      <c r="E28" s="85">
        <f t="shared" si="1"/>
        <v>5950</v>
      </c>
      <c r="F28" s="146" t="s">
        <v>30</v>
      </c>
      <c r="G28" s="140" t="s">
        <v>106</v>
      </c>
      <c r="H28" s="140" t="s">
        <v>101</v>
      </c>
    </row>
    <row r="29" spans="1:8" ht="24">
      <c r="A29" s="63" t="s">
        <v>68</v>
      </c>
      <c r="B29" s="65" t="s">
        <v>105</v>
      </c>
      <c r="C29" s="76">
        <f>15000</f>
        <v>15000</v>
      </c>
      <c r="D29" s="84">
        <f t="shared" si="0"/>
        <v>2850</v>
      </c>
      <c r="E29" s="85">
        <f t="shared" si="1"/>
        <v>17850</v>
      </c>
      <c r="F29" s="146" t="s">
        <v>30</v>
      </c>
      <c r="G29" s="140" t="s">
        <v>106</v>
      </c>
      <c r="H29" s="140" t="s">
        <v>101</v>
      </c>
    </row>
    <row r="30" spans="1:8" ht="12">
      <c r="A30" s="63" t="s">
        <v>69</v>
      </c>
      <c r="B30" s="65" t="s">
        <v>70</v>
      </c>
      <c r="C30" s="76">
        <f>C36*2.5/100</f>
        <v>430031.47109999997</v>
      </c>
      <c r="D30" s="84">
        <f t="shared" si="0"/>
        <v>81705.98</v>
      </c>
      <c r="E30" s="85">
        <f t="shared" si="1"/>
        <v>511737.45109999995</v>
      </c>
      <c r="F30" s="146" t="s">
        <v>30</v>
      </c>
      <c r="G30" s="140" t="s">
        <v>106</v>
      </c>
      <c r="H30" s="140" t="s">
        <v>101</v>
      </c>
    </row>
    <row r="31" spans="1:36" s="164" customFormat="1" ht="12">
      <c r="A31" s="154" t="s">
        <v>12</v>
      </c>
      <c r="B31" s="153" t="s">
        <v>45</v>
      </c>
      <c r="C31" s="76">
        <v>0</v>
      </c>
      <c r="D31" s="82">
        <f t="shared" si="0"/>
        <v>0</v>
      </c>
      <c r="E31" s="83">
        <f t="shared" si="1"/>
        <v>0</v>
      </c>
      <c r="F31" s="162" t="s">
        <v>29</v>
      </c>
      <c r="G31" s="140" t="s">
        <v>106</v>
      </c>
      <c r="H31" s="140" t="s">
        <v>101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spans="1:36" s="164" customFormat="1" ht="12">
      <c r="A32" s="154" t="s">
        <v>71</v>
      </c>
      <c r="B32" s="153" t="s">
        <v>11</v>
      </c>
      <c r="C32" s="76">
        <v>0</v>
      </c>
      <c r="D32" s="82">
        <f t="shared" si="0"/>
        <v>0</v>
      </c>
      <c r="E32" s="83">
        <f t="shared" si="1"/>
        <v>0</v>
      </c>
      <c r="F32" s="162" t="s">
        <v>29</v>
      </c>
      <c r="G32" s="140" t="s">
        <v>106</v>
      </c>
      <c r="H32" s="140" t="s">
        <v>101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spans="1:8" ht="12">
      <c r="A33" s="165" t="s">
        <v>72</v>
      </c>
      <c r="B33" s="166" t="s">
        <v>13</v>
      </c>
      <c r="C33" s="167">
        <f>C36*2/100</f>
        <v>344025.17688</v>
      </c>
      <c r="D33" s="168">
        <f t="shared" si="0"/>
        <v>65364.78</v>
      </c>
      <c r="E33" s="169">
        <f t="shared" si="1"/>
        <v>409389.95687999995</v>
      </c>
      <c r="F33" s="162" t="s">
        <v>29</v>
      </c>
      <c r="G33" s="140" t="s">
        <v>106</v>
      </c>
      <c r="H33" s="140" t="s">
        <v>101</v>
      </c>
    </row>
    <row r="34" spans="1:7" ht="16.5" customHeight="1" thickBot="1">
      <c r="A34" s="155"/>
      <c r="B34" s="156" t="s">
        <v>36</v>
      </c>
      <c r="C34" s="170">
        <f>_xlfn.SUMIFS(C20:C33,$F$20:$F$33,"&lt;&gt;")</f>
        <v>961056.6479799999</v>
      </c>
      <c r="D34" s="170">
        <f>_xlfn.SUMIFS(D20:D33,$F$20:$F$33,"&lt;&gt;")</f>
        <v>182600.76</v>
      </c>
      <c r="E34" s="171">
        <f>_xlfn.SUMIFS(E20:E33,$F$20:$F$33,"&lt;&gt;")</f>
        <v>1143657.40798</v>
      </c>
      <c r="F34" s="146"/>
      <c r="G34" s="140"/>
    </row>
    <row r="35" spans="1:7" ht="26.25" customHeight="1">
      <c r="A35" s="221" t="s">
        <v>46</v>
      </c>
      <c r="B35" s="222"/>
      <c r="C35" s="222"/>
      <c r="D35" s="222"/>
      <c r="E35" s="223"/>
      <c r="F35" s="146"/>
      <c r="G35" s="140"/>
    </row>
    <row r="36" spans="1:7" ht="12">
      <c r="A36" s="147" t="s">
        <v>14</v>
      </c>
      <c r="B36" s="153" t="s">
        <v>102</v>
      </c>
      <c r="C36" s="82">
        <f>C37+C38</f>
        <v>17201258.844</v>
      </c>
      <c r="D36" s="82">
        <f>D37+D38</f>
        <v>3268239.18</v>
      </c>
      <c r="E36" s="83">
        <f>E37+E38</f>
        <v>20469498.024</v>
      </c>
      <c r="F36" s="146"/>
      <c r="G36" s="140"/>
    </row>
    <row r="37" spans="1:8" ht="12">
      <c r="A37" s="172" t="str">
        <f>A36&amp;".1"</f>
        <v>4.1.1</v>
      </c>
      <c r="B37" s="65" t="s">
        <v>103</v>
      </c>
      <c r="C37" s="76">
        <f>C89*235000*C88</f>
        <v>14436770.8155</v>
      </c>
      <c r="D37" s="82">
        <f>ROUND(0.19*C37,2)</f>
        <v>2742986.45</v>
      </c>
      <c r="E37" s="83">
        <f>D37+C37</f>
        <v>17179757.2655</v>
      </c>
      <c r="F37" s="146" t="s">
        <v>30</v>
      </c>
      <c r="G37" s="140" t="s">
        <v>106</v>
      </c>
      <c r="H37" s="140" t="s">
        <v>106</v>
      </c>
    </row>
    <row r="38" spans="1:8" ht="12">
      <c r="A38" s="172" t="str">
        <f>A36&amp;".2"</f>
        <v>4.1.2</v>
      </c>
      <c r="B38" s="64" t="s">
        <v>104</v>
      </c>
      <c r="C38" s="76">
        <f>C89*45*1000*C88</f>
        <v>2764488.0285</v>
      </c>
      <c r="D38" s="82">
        <f>ROUND(0.19*C38,2)</f>
        <v>525252.73</v>
      </c>
      <c r="E38" s="83">
        <f>D38+C38</f>
        <v>3289740.7585</v>
      </c>
      <c r="F38" s="146" t="s">
        <v>30</v>
      </c>
      <c r="G38" s="140" t="s">
        <v>101</v>
      </c>
      <c r="H38" s="140" t="s">
        <v>106</v>
      </c>
    </row>
    <row r="39" spans="1:11" ht="12">
      <c r="A39" s="147" t="s">
        <v>15</v>
      </c>
      <c r="B39" s="153" t="s">
        <v>73</v>
      </c>
      <c r="C39" s="82">
        <f>C40+C41</f>
        <v>0</v>
      </c>
      <c r="D39" s="82">
        <f>D40+D41</f>
        <v>0</v>
      </c>
      <c r="E39" s="83">
        <f>E40+E41</f>
        <v>0</v>
      </c>
      <c r="F39" s="146"/>
      <c r="G39" s="140"/>
      <c r="H39" s="140"/>
      <c r="K39" s="120">
        <f>275000*C88*C89</f>
        <v>16894093.5075</v>
      </c>
    </row>
    <row r="40" spans="1:8" ht="12">
      <c r="A40" s="172" t="str">
        <f>A39&amp;".1"</f>
        <v>4.2.1</v>
      </c>
      <c r="B40" s="65" t="s">
        <v>103</v>
      </c>
      <c r="C40" s="76">
        <v>0</v>
      </c>
      <c r="D40" s="82">
        <f>ROUND(0.19*C40,2)</f>
        <v>0</v>
      </c>
      <c r="E40" s="83">
        <f>D40+C40</f>
        <v>0</v>
      </c>
      <c r="F40" s="146" t="s">
        <v>30</v>
      </c>
      <c r="G40" s="140" t="s">
        <v>106</v>
      </c>
      <c r="H40" s="140" t="s">
        <v>106</v>
      </c>
    </row>
    <row r="41" spans="1:8" ht="12">
      <c r="A41" s="172" t="str">
        <f>A39&amp;".2"</f>
        <v>4.2.2</v>
      </c>
      <c r="B41" s="64" t="s">
        <v>104</v>
      </c>
      <c r="C41" s="76">
        <v>0</v>
      </c>
      <c r="D41" s="82">
        <f>ROUND(0.19*C41,2)</f>
        <v>0</v>
      </c>
      <c r="E41" s="83">
        <f>D41+C41</f>
        <v>0</v>
      </c>
      <c r="F41" s="146" t="s">
        <v>30</v>
      </c>
      <c r="G41" s="140" t="s">
        <v>101</v>
      </c>
      <c r="H41" s="140" t="s">
        <v>106</v>
      </c>
    </row>
    <row r="42" spans="1:8" ht="24">
      <c r="A42" s="147" t="s">
        <v>16</v>
      </c>
      <c r="B42" s="153" t="s">
        <v>74</v>
      </c>
      <c r="C42" s="82">
        <f>C43+C44</f>
        <v>0</v>
      </c>
      <c r="D42" s="82">
        <f>D43+D44</f>
        <v>0</v>
      </c>
      <c r="E42" s="83">
        <f>E43+E44</f>
        <v>0</v>
      </c>
      <c r="F42" s="146"/>
      <c r="G42" s="140"/>
      <c r="H42" s="140"/>
    </row>
    <row r="43" spans="1:8" ht="12">
      <c r="A43" s="172" t="str">
        <f>A42&amp;".1"</f>
        <v>4.3.1</v>
      </c>
      <c r="B43" s="65" t="s">
        <v>103</v>
      </c>
      <c r="C43" s="76">
        <v>0</v>
      </c>
      <c r="D43" s="82">
        <f>ROUND(0.19*C43,2)</f>
        <v>0</v>
      </c>
      <c r="E43" s="83">
        <f>D43+C43</f>
        <v>0</v>
      </c>
      <c r="F43" s="146" t="s">
        <v>30</v>
      </c>
      <c r="G43" s="140" t="s">
        <v>106</v>
      </c>
      <c r="H43" s="140" t="s">
        <v>101</v>
      </c>
    </row>
    <row r="44" spans="1:8" ht="12">
      <c r="A44" s="172" t="str">
        <f>A42&amp;".2"</f>
        <v>4.3.2</v>
      </c>
      <c r="B44" s="64" t="s">
        <v>104</v>
      </c>
      <c r="C44" s="76">
        <v>0</v>
      </c>
      <c r="D44" s="82">
        <f>ROUND(0.19*C44,2)</f>
        <v>0</v>
      </c>
      <c r="E44" s="83">
        <f>D44+C44</f>
        <v>0</v>
      </c>
      <c r="F44" s="146" t="s">
        <v>30</v>
      </c>
      <c r="G44" s="140" t="s">
        <v>101</v>
      </c>
      <c r="H44" s="140" t="s">
        <v>101</v>
      </c>
    </row>
    <row r="45" spans="1:36" s="174" customFormat="1" ht="24">
      <c r="A45" s="147" t="s">
        <v>17</v>
      </c>
      <c r="B45" s="153" t="s">
        <v>75</v>
      </c>
      <c r="C45" s="82">
        <f>C46+C47</f>
        <v>0</v>
      </c>
      <c r="D45" s="82">
        <f>D46+D47</f>
        <v>0</v>
      </c>
      <c r="E45" s="83">
        <f>E46+E47</f>
        <v>0</v>
      </c>
      <c r="F45" s="139"/>
      <c r="G45" s="140"/>
      <c r="H45" s="140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1:8" ht="12">
      <c r="A46" s="172" t="str">
        <f>A45&amp;".1"</f>
        <v>4.4.1</v>
      </c>
      <c r="B46" s="65" t="s">
        <v>103</v>
      </c>
      <c r="C46" s="76">
        <v>0</v>
      </c>
      <c r="D46" s="82">
        <f>ROUND(0.19*C46,2)</f>
        <v>0</v>
      </c>
      <c r="E46" s="83">
        <f>D46+C46</f>
        <v>0</v>
      </c>
      <c r="F46" s="146" t="s">
        <v>30</v>
      </c>
      <c r="G46" s="140" t="s">
        <v>106</v>
      </c>
      <c r="H46" s="140" t="s">
        <v>101</v>
      </c>
    </row>
    <row r="47" spans="1:8" ht="12">
      <c r="A47" s="172" t="str">
        <f>A45&amp;".2"</f>
        <v>4.4.2</v>
      </c>
      <c r="B47" s="64" t="s">
        <v>104</v>
      </c>
      <c r="C47" s="76">
        <v>0</v>
      </c>
      <c r="D47" s="82">
        <f>ROUND(0.19*C47,2)</f>
        <v>0</v>
      </c>
      <c r="E47" s="83">
        <f>D47+C47</f>
        <v>0</v>
      </c>
      <c r="F47" s="146" t="s">
        <v>30</v>
      </c>
      <c r="G47" s="140" t="s">
        <v>101</v>
      </c>
      <c r="H47" s="140" t="s">
        <v>101</v>
      </c>
    </row>
    <row r="48" spans="1:8" ht="12">
      <c r="A48" s="147" t="s">
        <v>18</v>
      </c>
      <c r="B48" s="153" t="s">
        <v>47</v>
      </c>
      <c r="C48" s="82">
        <f>C49+C50</f>
        <v>0</v>
      </c>
      <c r="D48" s="82">
        <f>D49+D50</f>
        <v>0</v>
      </c>
      <c r="E48" s="83">
        <f>E49+E50</f>
        <v>0</v>
      </c>
      <c r="F48" s="146"/>
      <c r="G48" s="140"/>
      <c r="H48" s="140"/>
    </row>
    <row r="49" spans="1:8" ht="12">
      <c r="A49" s="172" t="str">
        <f>A48&amp;".1"</f>
        <v>4.5.1</v>
      </c>
      <c r="B49" s="65" t="s">
        <v>103</v>
      </c>
      <c r="C49" s="76">
        <v>0</v>
      </c>
      <c r="D49" s="82">
        <f>ROUND(0.19*C49,2)</f>
        <v>0</v>
      </c>
      <c r="E49" s="83">
        <f>D49+C49</f>
        <v>0</v>
      </c>
      <c r="F49" s="146" t="s">
        <v>30</v>
      </c>
      <c r="G49" s="140" t="s">
        <v>106</v>
      </c>
      <c r="H49" s="140" t="s">
        <v>101</v>
      </c>
    </row>
    <row r="50" spans="1:8" ht="12">
      <c r="A50" s="172" t="str">
        <f>A48&amp;".2"</f>
        <v>4.5.2</v>
      </c>
      <c r="B50" s="64" t="s">
        <v>104</v>
      </c>
      <c r="C50" s="76">
        <v>0</v>
      </c>
      <c r="D50" s="82">
        <f>ROUND(0.19*C50,2)</f>
        <v>0</v>
      </c>
      <c r="E50" s="83">
        <f>D50+C50</f>
        <v>0</v>
      </c>
      <c r="F50" s="146" t="s">
        <v>30</v>
      </c>
      <c r="G50" s="140" t="s">
        <v>101</v>
      </c>
      <c r="H50" s="140" t="s">
        <v>101</v>
      </c>
    </row>
    <row r="51" spans="1:8" ht="12">
      <c r="A51" s="147" t="s">
        <v>26</v>
      </c>
      <c r="B51" s="153" t="s">
        <v>27</v>
      </c>
      <c r="C51" s="82">
        <f>C52+C53</f>
        <v>0</v>
      </c>
      <c r="D51" s="82">
        <f>D52+D53</f>
        <v>0</v>
      </c>
      <c r="E51" s="83">
        <f>E52+E53</f>
        <v>0</v>
      </c>
      <c r="F51" s="146"/>
      <c r="G51" s="140"/>
      <c r="H51" s="140"/>
    </row>
    <row r="52" spans="1:8" ht="12">
      <c r="A52" s="172" t="str">
        <f>A51&amp;".1"</f>
        <v>4.6.1</v>
      </c>
      <c r="B52" s="65" t="s">
        <v>103</v>
      </c>
      <c r="C52" s="76">
        <v>0</v>
      </c>
      <c r="D52" s="82">
        <f>ROUND(0.19*C52,2)</f>
        <v>0</v>
      </c>
      <c r="E52" s="83">
        <f>D52+C52</f>
        <v>0</v>
      </c>
      <c r="F52" s="146" t="s">
        <v>30</v>
      </c>
      <c r="G52" s="140" t="s">
        <v>106</v>
      </c>
      <c r="H52" s="140" t="s">
        <v>101</v>
      </c>
    </row>
    <row r="53" spans="1:8" ht="12">
      <c r="A53" s="172" t="str">
        <f>A51&amp;".2"</f>
        <v>4.6.2</v>
      </c>
      <c r="B53" s="64" t="s">
        <v>104</v>
      </c>
      <c r="C53" s="76">
        <v>0</v>
      </c>
      <c r="D53" s="82">
        <f>ROUND(0.19*C53,2)</f>
        <v>0</v>
      </c>
      <c r="E53" s="83">
        <f>D53+C53</f>
        <v>0</v>
      </c>
      <c r="F53" s="146" t="s">
        <v>30</v>
      </c>
      <c r="G53" s="140" t="s">
        <v>101</v>
      </c>
      <c r="H53" s="140" t="s">
        <v>101</v>
      </c>
    </row>
    <row r="54" spans="1:8" ht="12.75" thickBot="1">
      <c r="A54" s="155"/>
      <c r="B54" s="156" t="s">
        <v>35</v>
      </c>
      <c r="C54" s="170">
        <f>_xlfn.SUMIFS(C36:C53,$F$36:$F$53,"&lt;&gt;")</f>
        <v>17201258.844</v>
      </c>
      <c r="D54" s="170">
        <f>_xlfn.SUMIFS(D36:D53,$F$36:$F$53,"&lt;&gt;")</f>
        <v>3268239.18</v>
      </c>
      <c r="E54" s="171">
        <f>_xlfn.SUMIFS(E36:E53,$F$36:$F$53,"&lt;&gt;")</f>
        <v>20469498.024</v>
      </c>
      <c r="F54" s="146"/>
      <c r="G54" s="140"/>
      <c r="H54" s="140"/>
    </row>
    <row r="55" spans="1:8" ht="25.5" customHeight="1">
      <c r="A55" s="218" t="s">
        <v>19</v>
      </c>
      <c r="B55" s="219"/>
      <c r="C55" s="219"/>
      <c r="D55" s="219"/>
      <c r="E55" s="220"/>
      <c r="F55" s="146"/>
      <c r="G55" s="140"/>
      <c r="H55" s="140"/>
    </row>
    <row r="56" spans="1:8" ht="15" customHeight="1">
      <c r="A56" s="147" t="s">
        <v>20</v>
      </c>
      <c r="B56" s="148" t="s">
        <v>90</v>
      </c>
      <c r="C56" s="82">
        <f>C57+C58</f>
        <v>154811.329596</v>
      </c>
      <c r="D56" s="82">
        <f>D57+D58</f>
        <v>29414.159999999996</v>
      </c>
      <c r="E56" s="83">
        <f>E57+E58</f>
        <v>184225.489596</v>
      </c>
      <c r="F56" s="146"/>
      <c r="G56" s="140"/>
      <c r="H56" s="140"/>
    </row>
    <row r="57" spans="1:8" ht="24">
      <c r="A57" s="63" t="s">
        <v>34</v>
      </c>
      <c r="B57" s="65" t="s">
        <v>76</v>
      </c>
      <c r="C57" s="76">
        <f>C54*0.6/100</f>
        <v>103207.55306399999</v>
      </c>
      <c r="D57" s="82">
        <f>ROUND(0.19*C57,2)</f>
        <v>19609.44</v>
      </c>
      <c r="E57" s="83">
        <f>D57+C57</f>
        <v>122816.993064</v>
      </c>
      <c r="F57" s="146" t="s">
        <v>30</v>
      </c>
      <c r="G57" s="140" t="s">
        <v>106</v>
      </c>
      <c r="H57" s="140" t="s">
        <v>106</v>
      </c>
    </row>
    <row r="58" spans="1:8" ht="15.75" customHeight="1">
      <c r="A58" s="63" t="s">
        <v>48</v>
      </c>
      <c r="B58" s="64" t="s">
        <v>77</v>
      </c>
      <c r="C58" s="76">
        <f>C54*0.3/100</f>
        <v>51603.776531999996</v>
      </c>
      <c r="D58" s="82">
        <f>ROUND(0.19*C58,2)</f>
        <v>9804.72</v>
      </c>
      <c r="E58" s="83">
        <f>D58+C58</f>
        <v>61408.496532</v>
      </c>
      <c r="F58" s="146" t="s">
        <v>29</v>
      </c>
      <c r="G58" s="140" t="s">
        <v>106</v>
      </c>
      <c r="H58" s="140" t="s">
        <v>101</v>
      </c>
    </row>
    <row r="59" spans="1:8" ht="26.25" customHeight="1">
      <c r="A59" s="147" t="s">
        <v>21</v>
      </c>
      <c r="B59" s="153" t="s">
        <v>49</v>
      </c>
      <c r="C59" s="82">
        <f>SUM(C60:C64)</f>
        <v>176005.7378145</v>
      </c>
      <c r="D59" s="82">
        <f>SUM(D60:D64)</f>
        <v>33441.09</v>
      </c>
      <c r="E59" s="83">
        <f>SUM(E60:E64)</f>
        <v>209446.82781449996</v>
      </c>
      <c r="F59" s="146"/>
      <c r="G59" s="140"/>
      <c r="H59" s="140"/>
    </row>
    <row r="60" spans="1:8" ht="24">
      <c r="A60" s="63" t="s">
        <v>78</v>
      </c>
      <c r="B60" s="65" t="s">
        <v>79</v>
      </c>
      <c r="C60" s="76">
        <v>0</v>
      </c>
      <c r="D60" s="82">
        <f aca="true" t="shared" si="2" ref="D60:D66">ROUND(0.19*C60,2)</f>
        <v>0</v>
      </c>
      <c r="E60" s="83">
        <f aca="true" t="shared" si="3" ref="E60:E66">D60+C60</f>
        <v>0</v>
      </c>
      <c r="F60" s="146" t="s">
        <v>29</v>
      </c>
      <c r="G60" s="140" t="s">
        <v>106</v>
      </c>
      <c r="H60" s="140" t="s">
        <v>101</v>
      </c>
    </row>
    <row r="61" spans="1:8" s="120" customFormat="1" ht="24">
      <c r="A61" s="63" t="s">
        <v>80</v>
      </c>
      <c r="B61" s="65" t="s">
        <v>81</v>
      </c>
      <c r="C61" s="76">
        <f>C37*0.5/100</f>
        <v>72183.8540775</v>
      </c>
      <c r="D61" s="82">
        <f t="shared" si="2"/>
        <v>13714.93</v>
      </c>
      <c r="E61" s="83">
        <f t="shared" si="3"/>
        <v>85898.7840775</v>
      </c>
      <c r="F61" s="146" t="s">
        <v>30</v>
      </c>
      <c r="G61" s="140" t="s">
        <v>106</v>
      </c>
      <c r="H61" s="140" t="s">
        <v>101</v>
      </c>
    </row>
    <row r="62" spans="1:8" s="120" customFormat="1" ht="36">
      <c r="A62" s="63" t="s">
        <v>82</v>
      </c>
      <c r="B62" s="65" t="s">
        <v>83</v>
      </c>
      <c r="C62" s="76">
        <f>C37*0.1/100</f>
        <v>14436.770815500002</v>
      </c>
      <c r="D62" s="82">
        <f t="shared" si="2"/>
        <v>2742.99</v>
      </c>
      <c r="E62" s="83">
        <f t="shared" si="3"/>
        <v>17179.7608155</v>
      </c>
      <c r="F62" s="146" t="s">
        <v>30</v>
      </c>
      <c r="G62" s="140" t="s">
        <v>106</v>
      </c>
      <c r="H62" s="140" t="s">
        <v>101</v>
      </c>
    </row>
    <row r="63" spans="1:8" s="120" customFormat="1" ht="12">
      <c r="A63" s="63" t="s">
        <v>84</v>
      </c>
      <c r="B63" s="65" t="s">
        <v>85</v>
      </c>
      <c r="C63" s="76">
        <f>C61</f>
        <v>72183.8540775</v>
      </c>
      <c r="D63" s="82">
        <f t="shared" si="2"/>
        <v>13714.93</v>
      </c>
      <c r="E63" s="83">
        <f t="shared" si="3"/>
        <v>85898.7840775</v>
      </c>
      <c r="F63" s="146" t="s">
        <v>30</v>
      </c>
      <c r="G63" s="140" t="s">
        <v>106</v>
      </c>
      <c r="H63" s="140" t="s">
        <v>101</v>
      </c>
    </row>
    <row r="64" spans="1:8" ht="24">
      <c r="A64" s="63" t="s">
        <v>86</v>
      </c>
      <c r="B64" s="65" t="s">
        <v>87</v>
      </c>
      <c r="C64" s="76">
        <f>C54*0.001</f>
        <v>17201.258844</v>
      </c>
      <c r="D64" s="82">
        <f t="shared" si="2"/>
        <v>3268.24</v>
      </c>
      <c r="E64" s="83">
        <f t="shared" si="3"/>
        <v>20469.498844</v>
      </c>
      <c r="F64" s="146" t="s">
        <v>29</v>
      </c>
      <c r="G64" s="140" t="s">
        <v>106</v>
      </c>
      <c r="H64" s="140" t="s">
        <v>101</v>
      </c>
    </row>
    <row r="65" spans="1:8" ht="12">
      <c r="A65" s="147" t="s">
        <v>22</v>
      </c>
      <c r="B65" s="153" t="s">
        <v>31</v>
      </c>
      <c r="C65" s="76">
        <f>C54*10/100</f>
        <v>1720125.8843999999</v>
      </c>
      <c r="D65" s="82">
        <f t="shared" si="2"/>
        <v>326823.92</v>
      </c>
      <c r="E65" s="83">
        <f t="shared" si="3"/>
        <v>2046949.8043999998</v>
      </c>
      <c r="F65" s="146" t="s">
        <v>30</v>
      </c>
      <c r="G65" s="140" t="s">
        <v>106</v>
      </c>
      <c r="H65" s="140" t="s">
        <v>101</v>
      </c>
    </row>
    <row r="66" spans="1:8" ht="12">
      <c r="A66" s="154" t="s">
        <v>88</v>
      </c>
      <c r="B66" s="153" t="s">
        <v>89</v>
      </c>
      <c r="C66" s="76">
        <v>12000</v>
      </c>
      <c r="D66" s="82">
        <f t="shared" si="2"/>
        <v>2280</v>
      </c>
      <c r="E66" s="83">
        <f t="shared" si="3"/>
        <v>14280</v>
      </c>
      <c r="F66" s="146" t="s">
        <v>29</v>
      </c>
      <c r="G66" s="140" t="s">
        <v>106</v>
      </c>
      <c r="H66" s="140" t="s">
        <v>101</v>
      </c>
    </row>
    <row r="67" spans="1:8" ht="12.75" thickBot="1">
      <c r="A67" s="155"/>
      <c r="B67" s="156" t="s">
        <v>37</v>
      </c>
      <c r="C67" s="170">
        <f>_xlfn.SUMIFS(C56:C66,$F$56:$F$66,"&lt;&gt;")</f>
        <v>2062942.9518105</v>
      </c>
      <c r="D67" s="170">
        <f>_xlfn.SUMIFS(D56:D66,$F$56:$F$66,"&lt;&gt;")</f>
        <v>391959.17</v>
      </c>
      <c r="E67" s="171">
        <f>_xlfn.SUMIFS(E56:E66,$F$56:$F$66,"&lt;&gt;")</f>
        <v>2454902.1218104996</v>
      </c>
      <c r="F67" s="146"/>
      <c r="G67" s="140"/>
      <c r="H67" s="140"/>
    </row>
    <row r="68" spans="1:8" ht="27" customHeight="1">
      <c r="A68" s="218" t="s">
        <v>91</v>
      </c>
      <c r="B68" s="219"/>
      <c r="C68" s="219"/>
      <c r="D68" s="219"/>
      <c r="E68" s="220"/>
      <c r="F68" s="146"/>
      <c r="G68" s="140"/>
      <c r="H68" s="140"/>
    </row>
    <row r="69" spans="1:8" ht="12">
      <c r="A69" s="147" t="s">
        <v>23</v>
      </c>
      <c r="B69" s="153" t="s">
        <v>92</v>
      </c>
      <c r="C69" s="76">
        <v>0</v>
      </c>
      <c r="D69" s="82">
        <f>0.19*C69</f>
        <v>0</v>
      </c>
      <c r="E69" s="83">
        <f>C69*1.19</f>
        <v>0</v>
      </c>
      <c r="F69" s="146" t="s">
        <v>29</v>
      </c>
      <c r="G69" s="140" t="s">
        <v>106</v>
      </c>
      <c r="H69" s="140" t="s">
        <v>106</v>
      </c>
    </row>
    <row r="70" spans="1:8" ht="12">
      <c r="A70" s="147" t="s">
        <v>24</v>
      </c>
      <c r="B70" s="153" t="s">
        <v>50</v>
      </c>
      <c r="C70" s="76">
        <v>0</v>
      </c>
      <c r="D70" s="82">
        <f>ROUND(0.19*C70,2)</f>
        <v>0</v>
      </c>
      <c r="E70" s="83">
        <f>D70+C70</f>
        <v>0</v>
      </c>
      <c r="F70" s="146" t="s">
        <v>30</v>
      </c>
      <c r="G70" s="140" t="s">
        <v>106</v>
      </c>
      <c r="H70" s="140" t="s">
        <v>106</v>
      </c>
    </row>
    <row r="71" spans="1:7" ht="12.75" customHeight="1" thickBot="1">
      <c r="A71" s="155"/>
      <c r="B71" s="156" t="s">
        <v>38</v>
      </c>
      <c r="C71" s="170">
        <f>_xlfn.SUMIFS(C69:C70,$F$69:$F$70,"&lt;&gt;")</f>
        <v>0</v>
      </c>
      <c r="D71" s="170">
        <f>_xlfn.SUMIFS(D69:D70,$F$69:$F$70,"&lt;&gt;")</f>
        <v>0</v>
      </c>
      <c r="E71" s="171">
        <f>_xlfn.SUMIFS(E69:E70,$F$69:$F$70,"&lt;&gt;")</f>
        <v>0</v>
      </c>
      <c r="F71" s="146"/>
      <c r="G71" s="140"/>
    </row>
    <row r="72" spans="1:7" ht="21" customHeight="1" thickBot="1">
      <c r="A72" s="175"/>
      <c r="B72" s="176" t="s">
        <v>32</v>
      </c>
      <c r="C72" s="177">
        <f>_xlfn.SUMIFS(C11:C71,$F$11:$F$71,"&lt;&gt;")</f>
        <v>20225258.4437905</v>
      </c>
      <c r="D72" s="177">
        <f>_xlfn.SUMIFS(D11:D71,$F$11:$F$71,"&lt;&gt;")</f>
        <v>3842799.110000001</v>
      </c>
      <c r="E72" s="178">
        <f>_xlfn.SUMIFS(E11:E71,$F$11:$F$71,"&lt;&gt;")</f>
        <v>24068057.553790502</v>
      </c>
      <c r="F72" s="146"/>
      <c r="G72" s="140"/>
    </row>
    <row r="73" spans="1:7" ht="23.25" customHeight="1" thickBot="1">
      <c r="A73" s="179"/>
      <c r="B73" s="180" t="s">
        <v>93</v>
      </c>
      <c r="C73" s="177">
        <f>_xlfn.SUMIFS(C11:C71,$H$11:$H$71,"da")</f>
        <v>17304466.397064</v>
      </c>
      <c r="D73" s="177">
        <f>_xlfn.SUMIFS(D11:D71,$H$11:$H$71,"da")</f>
        <v>3287848.62</v>
      </c>
      <c r="E73" s="178">
        <f>_xlfn.SUMIFS(E11:E71,$H$11:$H$71,"da")</f>
        <v>20592315.017064</v>
      </c>
      <c r="F73" s="146"/>
      <c r="G73" s="140"/>
    </row>
    <row r="74" spans="1:6" ht="12">
      <c r="A74" s="181"/>
      <c r="B74" s="182"/>
      <c r="C74" s="183"/>
      <c r="D74" s="183"/>
      <c r="E74" s="183"/>
      <c r="F74" s="184"/>
    </row>
    <row r="75" spans="1:6" ht="12">
      <c r="A75" s="181"/>
      <c r="B75" s="182"/>
      <c r="C75" s="183"/>
      <c r="D75" s="183"/>
      <c r="E75" s="183"/>
      <c r="F75" s="184"/>
    </row>
    <row r="76" spans="1:6" ht="12">
      <c r="A76" s="181"/>
      <c r="B76" s="182"/>
      <c r="C76" s="183"/>
      <c r="D76" s="183"/>
      <c r="E76" s="183"/>
      <c r="F76" s="184"/>
    </row>
    <row r="77" spans="1:6" ht="12">
      <c r="A77" s="181"/>
      <c r="B77" s="185" t="s">
        <v>99</v>
      </c>
      <c r="C77" s="186">
        <f>C78+C79</f>
        <v>24068057.5487905</v>
      </c>
      <c r="D77" s="183"/>
      <c r="E77" s="183"/>
      <c r="F77" s="184"/>
    </row>
    <row r="78" spans="1:6" ht="21" customHeight="1">
      <c r="A78" s="181"/>
      <c r="B78" s="187" t="s">
        <v>30</v>
      </c>
      <c r="C78" s="188">
        <f>_xlfn.SUMIFS(E11:E70,F11:F70,"=buget de stat")</f>
        <v>23363779.6015345</v>
      </c>
      <c r="D78" s="183"/>
      <c r="E78" s="183"/>
      <c r="F78" s="184"/>
    </row>
    <row r="79" spans="1:6" ht="21" customHeight="1">
      <c r="A79" s="181"/>
      <c r="B79" s="187" t="s">
        <v>29</v>
      </c>
      <c r="C79" s="189">
        <f>_xlfn.SUMIFS(E11:E70,F11:F70,"=buget local")-0.005</f>
        <v>704277.947256</v>
      </c>
      <c r="D79" s="183"/>
      <c r="E79" s="183"/>
      <c r="F79" s="184"/>
    </row>
    <row r="80" spans="1:6" ht="12">
      <c r="A80" s="125"/>
      <c r="B80" s="190"/>
      <c r="C80" s="190"/>
      <c r="D80" s="191"/>
      <c r="E80" s="191"/>
      <c r="F80" s="184"/>
    </row>
    <row r="81" spans="1:6" ht="12">
      <c r="A81" s="125"/>
      <c r="B81" s="192" t="s">
        <v>115</v>
      </c>
      <c r="C81" s="193" t="s">
        <v>109</v>
      </c>
      <c r="D81" s="193" t="s">
        <v>110</v>
      </c>
      <c r="E81" s="191"/>
      <c r="F81" s="184"/>
    </row>
    <row r="82" spans="1:6" ht="12">
      <c r="A82" s="125"/>
      <c r="B82" s="187" t="s">
        <v>111</v>
      </c>
      <c r="C82" s="188">
        <f>_xlfn.SUMIFS(C36:C53,G36:G53,"=da")</f>
        <v>14436770.8155</v>
      </c>
      <c r="D82" s="188">
        <f>_xlfn.SUMIFS(C36:C53,G36:G53,"=nu")</f>
        <v>2764488.0285</v>
      </c>
      <c r="E82" s="191"/>
      <c r="F82" s="184"/>
    </row>
    <row r="83" spans="1:6" ht="12">
      <c r="A83" s="125"/>
      <c r="B83" s="187" t="s">
        <v>112</v>
      </c>
      <c r="C83" s="188">
        <f>C82/(C82+D82)*(_xlfn.SUMIFS(C11:C70,G11:G70,"=da")-C82)+C82</f>
        <v>16974770.47960988</v>
      </c>
      <c r="D83" s="188">
        <f>(_xlfn.SUMIFS(C36:C53,G36:G53,"=nu")/((_xlfn.SUMIFS(C36:C53,G36:G53,"=da")+(_xlfn.SUMIFS(C36:C53,G36:G53,"=nu")))))*((_xlfn.SUMIFS(C11:C70,G11:G70,"=da")+(_xlfn.SUMIFS(C11:C70,G11:G70,"=nu"))))</f>
        <v>3250487.964180615</v>
      </c>
      <c r="E83" s="191"/>
      <c r="F83" s="184"/>
    </row>
    <row r="84" spans="1:6" ht="12">
      <c r="A84" s="125"/>
      <c r="B84" s="187" t="s">
        <v>116</v>
      </c>
      <c r="C84" s="188">
        <f>C83/C89</f>
        <v>1366838.7534914147</v>
      </c>
      <c r="D84" s="188">
        <f>D83/C89</f>
        <v>261735.0804558028</v>
      </c>
      <c r="E84" s="191"/>
      <c r="F84" s="184"/>
    </row>
    <row r="85" spans="1:6" ht="12">
      <c r="A85" s="125"/>
      <c r="B85" s="187" t="s">
        <v>114</v>
      </c>
      <c r="C85" s="188">
        <f>C83/C89/C88</f>
        <v>276313.24994267186</v>
      </c>
      <c r="D85" s="188">
        <f>D83/C89/C88</f>
        <v>52911.047861362684</v>
      </c>
      <c r="E85" s="191"/>
      <c r="F85" s="184"/>
    </row>
    <row r="86" ht="12">
      <c r="A86" s="125"/>
    </row>
    <row r="87" spans="1:5" ht="12">
      <c r="A87" s="194"/>
      <c r="B87" s="187" t="s">
        <v>107</v>
      </c>
      <c r="C87" s="195">
        <v>44491</v>
      </c>
      <c r="D87" s="196"/>
      <c r="E87" s="196"/>
    </row>
    <row r="88" spans="1:3" ht="12">
      <c r="A88" s="197"/>
      <c r="B88" s="187" t="s">
        <v>108</v>
      </c>
      <c r="C88" s="198">
        <v>4.9467</v>
      </c>
    </row>
    <row r="89" spans="1:5" ht="12">
      <c r="A89" s="197"/>
      <c r="B89" s="199" t="s">
        <v>135</v>
      </c>
      <c r="C89" s="200">
        <f>10.099+2.32</f>
        <v>12.419</v>
      </c>
      <c r="D89" s="201"/>
      <c r="E89" s="201"/>
    </row>
    <row r="90" spans="1:5" ht="12">
      <c r="A90" s="197"/>
      <c r="C90" s="191"/>
      <c r="D90" s="191"/>
      <c r="E90" s="191"/>
    </row>
    <row r="91" ht="12">
      <c r="A91" s="197"/>
    </row>
    <row r="92" spans="1:5" ht="12">
      <c r="A92" s="197"/>
      <c r="B92" s="202"/>
      <c r="C92" s="201"/>
      <c r="D92" s="203"/>
      <c r="E92" s="203"/>
    </row>
    <row r="93" spans="1:5" ht="12">
      <c r="A93" s="204"/>
      <c r="B93" s="123" t="s">
        <v>121</v>
      </c>
      <c r="C93" s="206"/>
      <c r="D93" s="224" t="s">
        <v>122</v>
      </c>
      <c r="E93" s="224"/>
    </row>
    <row r="94" spans="1:5" ht="12">
      <c r="A94" s="205"/>
      <c r="B94" s="118" t="s">
        <v>123</v>
      </c>
      <c r="D94" s="224" t="s">
        <v>124</v>
      </c>
      <c r="E94" s="224"/>
    </row>
    <row r="95" spans="1:5" ht="12">
      <c r="A95" s="205"/>
      <c r="D95" s="225" t="s">
        <v>125</v>
      </c>
      <c r="E95" s="225"/>
    </row>
    <row r="96" spans="1:5" ht="12">
      <c r="A96" s="205"/>
      <c r="B96" s="123" t="s">
        <v>126</v>
      </c>
      <c r="E96" s="207"/>
    </row>
    <row r="97" spans="1:5" ht="12">
      <c r="A97" s="205"/>
      <c r="B97" s="118" t="s">
        <v>127</v>
      </c>
      <c r="E97" s="207"/>
    </row>
    <row r="98" spans="1:5" ht="12.75">
      <c r="A98" s="205"/>
      <c r="B98" s="1"/>
      <c r="D98" s="224" t="s">
        <v>128</v>
      </c>
      <c r="E98" s="224"/>
    </row>
    <row r="99" spans="1:5" ht="12.75">
      <c r="A99" s="205"/>
      <c r="B99" s="1"/>
      <c r="D99" s="226" t="s">
        <v>129</v>
      </c>
      <c r="E99" s="226"/>
    </row>
    <row r="100" spans="1:5" ht="12">
      <c r="A100" s="205"/>
      <c r="D100" s="208" t="s">
        <v>130</v>
      </c>
      <c r="E100" s="208"/>
    </row>
    <row r="101" spans="1:5" ht="12">
      <c r="A101" s="205"/>
      <c r="E101" s="118"/>
    </row>
    <row r="102" ht="12">
      <c r="E102" s="118"/>
    </row>
    <row r="103" spans="4:5" ht="12">
      <c r="D103" s="224" t="s">
        <v>131</v>
      </c>
      <c r="E103" s="224"/>
    </row>
    <row r="104" spans="4:5" ht="12">
      <c r="D104" s="208" t="s">
        <v>132</v>
      </c>
      <c r="E104" s="208"/>
    </row>
  </sheetData>
  <sheetProtection/>
  <mergeCells count="23">
    <mergeCell ref="D103:E103"/>
    <mergeCell ref="D104:E104"/>
    <mergeCell ref="D93:E93"/>
    <mergeCell ref="D94:E94"/>
    <mergeCell ref="D95:E95"/>
    <mergeCell ref="D98:E98"/>
    <mergeCell ref="D99:E99"/>
    <mergeCell ref="D100:E100"/>
    <mergeCell ref="F6:F8"/>
    <mergeCell ref="G6:G8"/>
    <mergeCell ref="A68:E68"/>
    <mergeCell ref="H6:H8"/>
    <mergeCell ref="A10:E10"/>
    <mergeCell ref="A16:E16"/>
    <mergeCell ref="A19:E19"/>
    <mergeCell ref="A35:E35"/>
    <mergeCell ref="A55:E55"/>
    <mergeCell ref="D1:E1"/>
    <mergeCell ref="D2:E2"/>
    <mergeCell ref="A3:E3"/>
    <mergeCell ref="A6:A8"/>
    <mergeCell ref="B6:B8"/>
    <mergeCell ref="C6:E6"/>
  </mergeCells>
  <dataValidations count="2">
    <dataValidation type="date" operator="greaterThanOrEqual" allowBlank="1" showInputMessage="1" showErrorMessage="1" sqref="C87">
      <formula1>44197</formula1>
    </dataValidation>
    <dataValidation type="list" allowBlank="1" showInputMessage="1" showErrorMessage="1" sqref="G52:H53 G49:H50 G17:H17 G20:H23 G25:H33 G37:H38 G40:H41 G43:H44 G46:H47 G69:H70 G11:H14 G57:H66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35" t="s">
        <v>120</v>
      </c>
      <c r="B2" s="236"/>
      <c r="C2" s="236"/>
      <c r="D2" s="236"/>
      <c r="E2" s="236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37" t="s">
        <v>0</v>
      </c>
      <c r="B5" s="239" t="s">
        <v>1</v>
      </c>
      <c r="C5" s="239" t="s">
        <v>28</v>
      </c>
      <c r="D5" s="239"/>
      <c r="E5" s="241"/>
      <c r="F5" s="234" t="s">
        <v>51</v>
      </c>
      <c r="G5" s="227" t="s">
        <v>100</v>
      </c>
      <c r="H5" s="227" t="s">
        <v>113</v>
      </c>
    </row>
    <row r="6" spans="1:8" ht="25.5">
      <c r="A6" s="238"/>
      <c r="B6" s="240"/>
      <c r="C6" s="24" t="s">
        <v>96</v>
      </c>
      <c r="D6" s="9" t="s">
        <v>97</v>
      </c>
      <c r="E6" s="31" t="s">
        <v>98</v>
      </c>
      <c r="F6" s="234"/>
      <c r="G6" s="227"/>
      <c r="H6" s="227"/>
    </row>
    <row r="7" spans="1:8" ht="12.75">
      <c r="A7" s="238"/>
      <c r="B7" s="240"/>
      <c r="C7" s="8" t="s">
        <v>2</v>
      </c>
      <c r="D7" s="10" t="s">
        <v>2</v>
      </c>
      <c r="E7" s="32" t="s">
        <v>2</v>
      </c>
      <c r="F7" s="234"/>
      <c r="G7" s="227"/>
      <c r="H7" s="227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28" t="s">
        <v>41</v>
      </c>
      <c r="B9" s="229"/>
      <c r="C9" s="229"/>
      <c r="D9" s="229"/>
      <c r="E9" s="230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28" t="s">
        <v>43</v>
      </c>
      <c r="B15" s="229"/>
      <c r="C15" s="229"/>
      <c r="D15" s="229"/>
      <c r="E15" s="230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28" t="s">
        <v>44</v>
      </c>
      <c r="B18" s="229"/>
      <c r="C18" s="229"/>
      <c r="D18" s="229"/>
      <c r="E18" s="230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31" t="s">
        <v>46</v>
      </c>
      <c r="B34" s="232"/>
      <c r="C34" s="232"/>
      <c r="D34" s="232"/>
      <c r="E34" s="233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28" t="s">
        <v>19</v>
      </c>
      <c r="B54" s="229"/>
      <c r="C54" s="229"/>
      <c r="D54" s="229"/>
      <c r="E54" s="230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28" t="s">
        <v>91</v>
      </c>
      <c r="B67" s="229"/>
      <c r="C67" s="229"/>
      <c r="D67" s="229"/>
      <c r="E67" s="230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A2:E2"/>
    <mergeCell ref="A5:A7"/>
    <mergeCell ref="B5:B7"/>
    <mergeCell ref="C5:E5"/>
    <mergeCell ref="H5:H7"/>
    <mergeCell ref="A67:E67"/>
    <mergeCell ref="A34:E34"/>
    <mergeCell ref="A54:E54"/>
    <mergeCell ref="A15:E15"/>
    <mergeCell ref="F5:F7"/>
    <mergeCell ref="G5:G7"/>
    <mergeCell ref="A18:E18"/>
    <mergeCell ref="A9:E9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2021-11-03T10:38:12Z</dcterms:modified>
  <cp:category/>
  <cp:version/>
  <cp:contentType/>
  <cp:contentStatus/>
</cp:coreProperties>
</file>